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tables/table1.xml" ContentType="application/vnd.openxmlformats-officedocument.spreadsheetml.table+xml"/>
  <Override PartName="/xl/tables/table2.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9"/>
  <workbookPr/>
  <mc:AlternateContent xmlns:mc="http://schemas.openxmlformats.org/markup-compatibility/2006">
    <mc:Choice Requires="x15">
      <x15ac:absPath xmlns:x15ac="http://schemas.microsoft.com/office/spreadsheetml/2010/11/ac" url="\\bhw-vmfs01\FolderRedirectionShare$\conner.knepp\Downloads\"/>
    </mc:Choice>
  </mc:AlternateContent>
  <xr:revisionPtr revIDLastSave="3" documentId="13_ncr:1_{C46BA586-1D63-428E-A02B-8C7EC6F8525B}" xr6:coauthVersionLast="47" xr6:coauthVersionMax="47" xr10:uidLastSave="{D9164E32-86FB-49BD-859E-6CD920FA7141}"/>
  <workbookProtection lockStructure="1"/>
  <bookViews>
    <workbookView xWindow="-110" yWindow="-110" windowWidth="38620" windowHeight="21220" xr2:uid="{00000000-000D-0000-FFFF-FFFF00000000}"/>
  </bookViews>
  <sheets>
    <sheet name="Calculator" sheetId="1" r:id="rId1"/>
    <sheet name="Summary" sheetId="3" state="hidden" r:id="rId2"/>
    <sheet name="PTO" sheetId="2"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1" i="1" l="1" a="1"/>
  <c r="B21" i="1"/>
  <c r="B20" i="1" a="1"/>
  <c r="B20" i="1"/>
  <c r="A24" i="1"/>
  <c r="C29" i="1" a="1"/>
  <c r="C29" i="1" s="1"/>
  <c r="D51" i="1" s="1" a="1"/>
  <c r="D51" i="1" s="1"/>
  <c r="A49" i="1"/>
  <c r="A14" i="1"/>
  <c r="A25" i="1"/>
  <c r="A15" i="1"/>
  <c r="B14" i="1" l="1" a="1"/>
  <c r="B14" i="1" s="1"/>
  <c r="B25" i="1" l="1"/>
  <c r="B4" i="3" s="1"/>
  <c r="C32" i="1"/>
  <c r="B2" i="3"/>
  <c r="B11" i="1" a="1"/>
  <c r="B11" i="1" s="1"/>
  <c r="B37" i="1" a="1"/>
  <c r="B37" i="1" s="1"/>
  <c r="B41" i="1"/>
  <c r="B6" i="3" s="1"/>
  <c r="B36" i="1"/>
  <c r="B45" i="1" l="1"/>
  <c r="B50" i="1" s="1" a="1"/>
  <c r="B50" i="1" s="1"/>
  <c r="B5" i="3"/>
  <c r="B46" i="1"/>
  <c r="A10" i="1"/>
  <c r="C31" i="1"/>
  <c r="C30" i="1"/>
  <c r="B7" i="3" l="1"/>
  <c r="B51" i="1" a="1"/>
  <c r="B51" i="1" s="1"/>
  <c r="B8" i="3"/>
  <c r="B3" i="3"/>
  <c r="B9" i="3" l="1"/>
  <c r="E1"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<sst xmlns="http://schemas.openxmlformats.org/spreadsheetml/2006/main" count="65" uniqueCount="57">
  <si>
    <t>Please fill in all Blue Cells</t>
  </si>
  <si>
    <t>All Fields must be filled out with either your answer, "Opt Out", or a 0(Zero)
Some Fields have drop-downs otherwise enter a number.</t>
  </si>
  <si>
    <t>This calculator is for informational purposes only.
The caclulations shown are an approximation of your total compensation based on your selections and will not reflect in your paychecks or in other services until you make the proper adjustments during the Open Enrollment period each year.
Please Reah out to HR with any questions.</t>
  </si>
  <si>
    <t>Employment Information</t>
  </si>
  <si>
    <t>Type of Employee</t>
  </si>
  <si>
    <t>Years Worked (Whole &amp; Complete Years)</t>
  </si>
  <si>
    <t>Hourly Rate (Average Rate for Good Life)</t>
  </si>
  <si>
    <t>Annual Salary</t>
  </si>
  <si>
    <t>PTO/Vacation Leave</t>
  </si>
  <si>
    <t>Medical Insurance</t>
  </si>
  <si>
    <t>Medical Insurance Plan</t>
  </si>
  <si>
    <t>Person(s) Covered</t>
  </si>
  <si>
    <t>Employee Yearly Pay In</t>
  </si>
  <si>
    <t>Employer Yearly Pay In</t>
  </si>
  <si>
    <t>HSA Information
(Non-SCA Emplyees with High Deductible Medical Insurance Only)</t>
  </si>
  <si>
    <t>Life Insurance (One-Time Payment at Loss of Life)</t>
  </si>
  <si>
    <t>Employee Insurance reduces by 35% at age 65;
60% at age 70; 80% at age 75</t>
  </si>
  <si>
    <t>Age:</t>
  </si>
  <si>
    <t>Basic Life Employee</t>
  </si>
  <si>
    <t>Basic Life Spouse</t>
  </si>
  <si>
    <t>Basic Life Child(ren) Birth - 6 Months (Enter a Number)</t>
  </si>
  <si>
    <t>Basic Life Child(ren) 6 Months - 20 Years (Enter a Number)</t>
  </si>
  <si>
    <t>Dental Insurance</t>
  </si>
  <si>
    <t>Dental Plan</t>
  </si>
  <si>
    <t>Vision Insurance</t>
  </si>
  <si>
    <t>Vision Plan</t>
  </si>
  <si>
    <t>Retirement</t>
  </si>
  <si>
    <t>% Invested in Retirement Yearly (0% to Opt Out)</t>
  </si>
  <si>
    <t>Totals</t>
  </si>
  <si>
    <t>Salary after Benefit Pay In and Before Taxes</t>
  </si>
  <si>
    <t>Salary with Calculated Benefits</t>
  </si>
  <si>
    <t>and</t>
  </si>
  <si>
    <t xml:space="preserve"> in Life Insurance at loss of life.</t>
  </si>
  <si>
    <t>List of Other Benefits Not Included Above:</t>
  </si>
  <si>
    <t>Long-Term Disability Insurance</t>
  </si>
  <si>
    <t>Voluntary Life Insurance (Refer to ADP for calculations)</t>
  </si>
  <si>
    <r>
      <t xml:space="preserve">Prescription Insurance for Med. Insurance plans </t>
    </r>
    <r>
      <rPr>
        <b/>
        <sz val="11"/>
        <color theme="1"/>
        <rFont val="Calibri"/>
        <family val="2"/>
        <scheme val="minor"/>
      </rPr>
      <t>other than</t>
    </r>
    <r>
      <rPr>
        <sz val="11"/>
        <color theme="1"/>
        <rFont val="Calibri"/>
        <family val="2"/>
        <scheme val="minor"/>
      </rPr>
      <t xml:space="preserve"> "High Deductible"</t>
    </r>
  </si>
  <si>
    <t>"High Deductible" Med. Insurance plan gives prescription discounts.</t>
  </si>
  <si>
    <t>Nectar Reward Points</t>
  </si>
  <si>
    <t>Tava Health</t>
  </si>
  <si>
    <t>Peak Wellness</t>
  </si>
  <si>
    <t>Phone Plan Savings</t>
  </si>
  <si>
    <t>Misc. Ticket Discounts around town and Online (Check ADP)</t>
  </si>
  <si>
    <t>Gym Access</t>
  </si>
  <si>
    <t>FSA for tax savings. What you put in is what you get out.</t>
  </si>
  <si>
    <t>Benefit</t>
  </si>
  <si>
    <t>Amount</t>
  </si>
  <si>
    <t>PTO</t>
  </si>
  <si>
    <t>HSA</t>
  </si>
  <si>
    <t>Retirement Investment</t>
  </si>
  <si>
    <t>Salary after Benefit Pay In</t>
  </si>
  <si>
    <t>Total</t>
  </si>
  <si>
    <t>PTO Yearly Maximums (Hours)</t>
  </si>
  <si>
    <t>Years Worked</t>
  </si>
  <si>
    <t>Standard</t>
  </si>
  <si>
    <t>Good Life</t>
  </si>
  <si>
    <t>SCA Full-Time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</si>
</sst>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12">
    <font>
      <sz val="11"/>
      <color theme="1"/>
      <name val="Calibri"/>
      <family val="2"/>
      <scheme val="minor"/>
    </font>
    <font>
      <sz val="11"/>
      <color theme="1"/>
      <name val="Calibri"/>
      <family val="2"/>
      <scheme val="minor"/>
    </font>
    <font>
      <sz val="11"/>
      <name val="Calibri"/>
      <family val="2"/>
      <scheme val="minor"/>
    </font>
    <font>
      <sz val="8"/>
      <name val="Calibri"/>
      <family val="2"/>
      <scheme val="minor"/>
    </font>
    <font>
      <b/>
      <sz val="12"/>
      <color theme="1"/>
      <name val="Calibri"/>
      <family val="2"/>
      <scheme val="minor"/>
    </font>
    <font>
      <b/>
      <sz val="11"/>
      <color theme="1"/>
      <name val="Calibri"/>
      <family val="2"/>
      <scheme val="minor"/>
    </font>
    <font>
      <b/>
      <sz val="12"/>
      <color rgb="FFEE0000"/>
      <name val="Calibri"/>
      <family val="2"/>
      <scheme val="minor"/>
    </font>
    <font>
      <sz val="10"/>
      <color theme="4" tint="-0.249977111117893"/>
      <name val="Calibri"/>
      <family val="2"/>
      <scheme val="minor"/>
    </font>
    <font>
      <b/>
      <sz val="14"/>
      <color theme="4" tint="-0.249977111117893"/>
      <name val="Calibri"/>
      <family val="2"/>
      <scheme val="minor"/>
    </font>
    <font>
      <b/>
      <sz val="12"/>
      <color theme="4" tint="-0.249977111117893"/>
      <name val="Calibri"/>
      <family val="2"/>
      <scheme val="minor"/>
    </font>
    <font>
      <sz val="12"/>
      <color theme="1"/>
      <name val="Calibri"/>
      <family val="2"/>
      <scheme val="minor"/>
    </font>
    <font>
      <sz val="12"/>
      <name val="Calibri"/>
      <family val="2"/>
      <scheme val="minor"/>
    </font>
  </fonts>
  <fills count="4">
    <fill>
      <patternFill patternType="none"/>
    </fill>
    <fill>
      <patternFill patternType="gray125"/>
    </fill>
    <fill>
      <patternFill patternType="solid">
        <fgColor theme="4" tint="0.39997558519241921"/>
        <bgColor indexed="64"/>
      </patternFill>
    </fill>
    <fill>
      <patternFill patternType="solid">
        <fgColor theme="6" tint="0.39997558519241921"/>
        <bgColor indexed="64"/>
      </patternFill>
    </fill>
  </fills>
  <borders count="11">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4">
    <xf numFmtId="0" fontId="0" fillId="0" borderId="0" xfId="0"/>
    <xf numFmtId="164" fontId="0" fillId="0" borderId="0" xfId="0" applyNumberFormat="1"/>
    <xf numFmtId="1" fontId="0" fillId="0" borderId="4" xfId="1" applyNumberFormat="1" applyFont="1" applyFill="1" applyBorder="1" applyProtection="1">
      <protection locked="0"/>
    </xf>
    <xf numFmtId="164" fontId="0" fillId="0" borderId="2" xfId="0" applyNumberFormat="1" applyBorder="1" applyProtection="1">
      <protection locked="0"/>
    </xf>
    <xf numFmtId="0" fontId="0" fillId="2" borderId="4" xfId="0" applyFill="1" applyBorder="1" applyProtection="1">
      <protection locked="0"/>
    </xf>
    <xf numFmtId="164" fontId="0" fillId="0" borderId="0" xfId="0" applyNumberFormat="1" applyProtection="1">
      <protection hidden="1"/>
    </xf>
    <xf numFmtId="0" fontId="0" fillId="0" borderId="0" xfId="0" applyProtection="1">
      <protection hidden="1"/>
    </xf>
    <xf numFmtId="164" fontId="0" fillId="0" borderId="6" xfId="1" applyNumberFormat="1" applyFont="1" applyFill="1" applyBorder="1" applyProtection="1">
      <protection hidden="1"/>
    </xf>
    <xf numFmtId="164" fontId="0" fillId="0" borderId="9" xfId="2" applyNumberFormat="1" applyFont="1" applyFill="1" applyBorder="1" applyProtection="1">
      <protection hidden="1"/>
    </xf>
    <xf numFmtId="164" fontId="0" fillId="0" borderId="4" xfId="0" applyNumberFormat="1" applyBorder="1" applyProtection="1">
      <protection hidden="1"/>
    </xf>
    <xf numFmtId="164" fontId="0" fillId="0" borderId="6" xfId="0" applyNumberFormat="1" applyBorder="1" applyProtection="1">
      <protection hidden="1"/>
    </xf>
    <xf numFmtId="164" fontId="0" fillId="0" borderId="4" xfId="2" applyNumberFormat="1" applyFont="1" applyFill="1" applyBorder="1" applyProtection="1">
      <protection hidden="1"/>
    </xf>
    <xf numFmtId="164" fontId="0" fillId="0" borderId="6" xfId="2" applyNumberFormat="1" applyFont="1" applyFill="1" applyBorder="1" applyProtection="1">
      <protection hidden="1"/>
    </xf>
    <xf numFmtId="164" fontId="2" fillId="0" borderId="4" xfId="0" applyNumberFormat="1" applyFont="1" applyBorder="1" applyProtection="1">
      <protection hidden="1"/>
    </xf>
    <xf numFmtId="164" fontId="2" fillId="0" borderId="6" xfId="0" applyNumberFormat="1" applyFont="1" applyBorder="1" applyProtection="1">
      <protection hidden="1"/>
    </xf>
    <xf numFmtId="164" fontId="0" fillId="0" borderId="7" xfId="0" applyNumberFormat="1" applyBorder="1" applyProtection="1">
      <protection hidden="1"/>
    </xf>
    <xf numFmtId="0" fontId="0" fillId="0" borderId="3" xfId="0" applyBorder="1" applyProtection="1">
      <protection hidden="1"/>
    </xf>
    <xf numFmtId="0" fontId="0" fillId="0" borderId="0" xfId="0" applyAlignment="1" applyProtection="1">
      <alignment horizontal="center"/>
      <protection hidden="1"/>
    </xf>
    <xf numFmtId="10" fontId="2" fillId="3" borderId="2" xfId="0" applyNumberFormat="1" applyFont="1" applyFill="1" applyBorder="1" applyProtection="1">
      <protection locked="0"/>
    </xf>
    <xf numFmtId="164" fontId="0" fillId="3" borderId="2" xfId="0" applyNumberFormat="1" applyFill="1" applyBorder="1" applyProtection="1">
      <protection locked="0"/>
    </xf>
    <xf numFmtId="0" fontId="0" fillId="3" borderId="2" xfId="0" applyFill="1" applyBorder="1" applyProtection="1">
      <protection locked="0"/>
    </xf>
    <xf numFmtId="1" fontId="0" fillId="3" borderId="7" xfId="0" applyNumberFormat="1" applyFill="1" applyBorder="1" applyProtection="1">
      <protection locked="0"/>
    </xf>
    <xf numFmtId="0" fontId="0" fillId="3" borderId="4" xfId="0" applyFill="1" applyBorder="1" applyProtection="1">
      <protection locked="0"/>
    </xf>
    <xf numFmtId="164" fontId="0" fillId="3" borderId="4" xfId="1" applyNumberFormat="1" applyFont="1" applyFill="1" applyBorder="1" applyProtection="1">
      <protection locked="0"/>
    </xf>
    <xf numFmtId="164" fontId="0" fillId="3" borderId="0" xfId="0" applyNumberFormat="1" applyFill="1" applyProtection="1">
      <protection locked="0"/>
      <extLst>
        <ext xmlns:xfpb="http://schemas.microsoft.com/office/spreadsheetml/2022/featurepropertybag" uri="{C7286773-470A-42A8-94C5-96B5CB345126}">
          <xfpb:xfComplement i="0"/>
        </ext>
      </extLst>
    </xf>
    <xf numFmtId="1" fontId="0" fillId="3" borderId="0" xfId="0" applyNumberFormat="1" applyFill="1" applyProtection="1">
      <protection locked="0"/>
    </xf>
    <xf numFmtId="164" fontId="0" fillId="0" borderId="0" xfId="2" applyNumberFormat="1" applyFont="1" applyFill="1" applyBorder="1" applyProtection="1">
      <protection hidden="1"/>
    </xf>
    <xf numFmtId="0" fontId="0" fillId="0" borderId="5" xfId="0" applyBorder="1" applyProtection="1">
      <protection hidden="1"/>
    </xf>
    <xf numFmtId="0" fontId="0" fillId="0" borderId="10" xfId="0" applyBorder="1" applyProtection="1">
      <protection hidden="1"/>
    </xf>
    <xf numFmtId="0" fontId="0" fillId="0" borderId="2" xfId="0" applyBorder="1" applyProtection="1">
      <protection hidden="1"/>
    </xf>
    <xf numFmtId="0" fontId="0" fillId="0" borderId="7" xfId="0" applyBorder="1" applyAlignment="1" applyProtection="1">
      <alignment horizontal="center"/>
      <protection hidden="1"/>
    </xf>
    <xf numFmtId="0" fontId="0" fillId="0" borderId="6" xfId="0" applyBorder="1" applyProtection="1">
      <protection hidden="1"/>
    </xf>
    <xf numFmtId="0" fontId="4" fillId="0" borderId="0" xfId="0" applyFont="1" applyProtection="1">
      <protection hidden="1"/>
    </xf>
    <xf numFmtId="0" fontId="0" fillId="0" borderId="1" xfId="0" applyBorder="1" applyProtection="1">
      <protection hidden="1"/>
    </xf>
    <xf numFmtId="0" fontId="5" fillId="0" borderId="1" xfId="0" applyFont="1" applyBorder="1" applyProtection="1">
      <protection hidden="1"/>
    </xf>
    <xf numFmtId="44" fontId="0" fillId="0" borderId="0" xfId="2" applyFont="1" applyFill="1" applyProtection="1">
      <protection hidden="1"/>
    </xf>
    <xf numFmtId="0" fontId="0" fillId="0" borderId="1" xfId="0" applyBorder="1" applyAlignment="1" applyProtection="1">
      <alignment wrapText="1"/>
      <protection hidden="1"/>
    </xf>
    <xf numFmtId="164" fontId="0" fillId="0" borderId="0" xfId="1" applyNumberFormat="1" applyFont="1" applyFill="1" applyBorder="1" applyProtection="1">
      <protection hidden="1"/>
    </xf>
    <xf numFmtId="0" fontId="0" fillId="0" borderId="8" xfId="0" applyBorder="1" applyProtection="1">
      <protection hidden="1"/>
    </xf>
    <xf numFmtId="0" fontId="9" fillId="0" borderId="0" xfId="0" applyFont="1" applyAlignment="1" applyProtection="1">
      <alignment horizontal="center" wrapText="1"/>
      <protection hidden="1"/>
    </xf>
    <xf numFmtId="0" fontId="10" fillId="0" borderId="10" xfId="0" applyFont="1" applyBorder="1" applyAlignment="1" applyProtection="1">
      <alignment horizontal="center" vertical="center"/>
      <protection hidden="1"/>
    </xf>
    <xf numFmtId="0" fontId="11" fillId="3" borderId="2" xfId="0" applyFont="1" applyFill="1" applyBorder="1" applyAlignment="1" applyProtection="1">
      <alignment horizontal="center" vertical="center"/>
      <protection locked="0"/>
    </xf>
    <xf numFmtId="0" fontId="10" fillId="0" borderId="1" xfId="0" applyFont="1" applyBorder="1" applyAlignment="1" applyProtection="1">
      <alignment horizontal="center" vertical="center" wrapText="1"/>
      <protection hidden="1"/>
    </xf>
    <xf numFmtId="0" fontId="2" fillId="0" borderId="3" xfId="0" applyFont="1" applyBorder="1" applyProtection="1">
      <protection hidden="1"/>
    </xf>
    <xf numFmtId="0" fontId="6" fillId="0" borderId="1" xfId="0" applyFont="1" applyBorder="1" applyAlignment="1" applyProtection="1">
      <alignment horizontal="center"/>
      <protection hidden="1"/>
    </xf>
    <xf numFmtId="0" fontId="6" fillId="0" borderId="2" xfId="0" applyFont="1" applyBorder="1" applyAlignment="1" applyProtection="1">
      <alignment horizontal="center"/>
      <protection hidden="1"/>
    </xf>
    <xf numFmtId="0" fontId="4" fillId="0" borderId="0" xfId="0" applyFont="1" applyAlignment="1" applyProtection="1">
      <alignment horizontal="center"/>
      <protection hidden="1"/>
    </xf>
    <xf numFmtId="0" fontId="8" fillId="3" borderId="0" xfId="0" applyFont="1" applyFill="1" applyAlignment="1" applyProtection="1">
      <alignment horizontal="center"/>
      <protection hidden="1"/>
    </xf>
    <xf numFmtId="0" fontId="4" fillId="0" borderId="7" xfId="0" applyFont="1" applyBorder="1" applyAlignment="1" applyProtection="1">
      <alignment horizontal="center"/>
      <protection hidden="1"/>
    </xf>
    <xf numFmtId="0" fontId="4" fillId="0" borderId="7" xfId="0" applyFont="1" applyBorder="1" applyAlignment="1" applyProtection="1">
      <alignment horizontal="center" wrapText="1"/>
      <protection hidden="1"/>
    </xf>
    <xf numFmtId="0" fontId="9" fillId="3" borderId="0" xfId="0" applyFont="1" applyFill="1" applyAlignment="1" applyProtection="1">
      <alignment horizontal="center" wrapText="1"/>
      <protection hidden="1"/>
    </xf>
    <xf numFmtId="0" fontId="7" fillId="0" borderId="10" xfId="0" applyFont="1" applyBorder="1" applyAlignment="1" applyProtection="1">
      <alignment horizontal="center" vertical="center" wrapText="1"/>
      <protection hidden="1"/>
    </xf>
    <xf numFmtId="0" fontId="9" fillId="3" borderId="0" xfId="0" applyFont="1" applyFill="1" applyAlignment="1" applyProtection="1">
      <alignment horizontal="center" vertical="center" wrapText="1"/>
      <protection hidden="1"/>
    </xf>
    <xf numFmtId="0" fontId="0" fillId="0" borderId="0" xfId="0" applyAlignment="1" applyProtection="1">
      <alignment horizontal="center"/>
      <protection hidden="1"/>
    </xf>
  </cellXfs>
  <cellStyles count="3">
    <cellStyle name="Comma" xfId="1" builtinId="3"/>
    <cellStyle name="Currency" xfId="2" builtinId="4"/>
    <cellStyle name="Normal" xfId="0" builtinId="0"/>
  </cellStyles>
  <dxfs count="28">
    <dxf>
      <protection locked="1" hidden="1"/>
    </dxf>
    <dxf>
      <protection locked="1" hidden="1"/>
    </dxf>
    <dxf>
      <protection locked="1" hidden="1"/>
    </dxf>
    <dxf>
      <protection locked="1" hidden="1"/>
    </dxf>
    <dxf>
      <protection locked="1" hidden="1"/>
    </dxf>
    <dxf>
      <protection locked="1" hidden="1"/>
    </dxf>
    <dxf>
      <numFmt numFmtId="164" formatCode="&quot;$&quot;#,##0.00"/>
      <protection locked="1" hidden="1"/>
    </dxf>
    <dxf>
      <numFmt numFmtId="164" formatCode="&quot;$&quot;#,##0.00"/>
      <protection locked="1" hidden="1"/>
    </dxf>
    <dxf>
      <protection locked="1" hidden="1"/>
    </dxf>
    <dxf>
      <protection locked="1" hidden="1"/>
    </dxf>
    <dxf>
      <protection locked="1" hidden="1"/>
    </dxf>
    <dxf>
      <protection locked="1" hidden="1"/>
    </dxf>
    <dxf>
      <protection locked="1" hidden="1"/>
    </dxf>
    <dxf>
      <font>
        <color rgb="FFFF0000"/>
      </font>
    </dxf>
    <dxf>
      <border>
        <left style="thin">
          <color rgb="FFFF0000"/>
        </left>
        <right style="thin">
          <color rgb="FFFF0000"/>
        </right>
        <top style="thin">
          <color rgb="FFFF0000"/>
        </top>
        <bottom style="thin">
          <color rgb="FFFF0000"/>
        </bottom>
        <vertical/>
        <horizontal/>
      </border>
    </dxf>
    <dxf>
      <fill>
        <patternFill>
          <bgColor theme="6" tint="0.39994506668294322"/>
        </patternFill>
      </fill>
    </dxf>
    <dxf>
      <fill>
        <patternFill patternType="none">
          <bgColor auto="1"/>
        </patternFill>
      </fill>
    </dxf>
    <dxf>
      <border>
        <left style="thin">
          <color rgb="FFEE0000"/>
        </left>
        <right style="thin">
          <color rgb="FFEE0000"/>
        </right>
        <top style="thin">
          <color rgb="FFEE0000"/>
        </top>
        <bottom style="thin">
          <color rgb="FFEE0000"/>
        </bottom>
        <vertical/>
        <horizontal/>
      </border>
    </dxf>
    <dxf>
      <font>
        <b/>
        <i val="0"/>
        <color theme="4" tint="-0.24994659260841701"/>
      </font>
    </dxf>
    <dxf>
      <fill>
        <patternFill patternType="none">
          <bgColor auto="1"/>
        </patternFill>
      </fill>
    </dxf>
    <dxf>
      <fill>
        <patternFill>
          <bgColor theme="6" tint="0.39994506668294322"/>
        </patternFill>
      </fill>
    </dxf>
    <dxf>
      <border>
        <left style="thin">
          <color rgb="FFEE0000"/>
        </left>
        <right style="thin">
          <color rgb="FFEE0000"/>
        </right>
        <top style="thin">
          <color rgb="FFEE0000"/>
        </top>
        <bottom style="thin">
          <color rgb="FFEE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ill>
        <patternFill>
          <bgColor theme="6" tint="0.39994506668294322"/>
        </patternFill>
      </fill>
    </dxf>
    <dxf>
      <fill>
        <patternFill patternType="none">
          <bgColor auto="1"/>
        </patternFill>
      </fill>
    </dxf>
    <dxf>
      <border>
        <left style="thin">
          <color rgb="FFEE0000"/>
        </left>
        <right style="thin">
          <color rgb="FFEE0000"/>
        </right>
        <top style="thin">
          <color rgb="FFEE0000"/>
        </top>
        <bottom style="thin">
          <color rgb="FFEE0000"/>
        </bottom>
        <vertical/>
        <horizontal/>
      </border>
    </dxf>
    <dxf>
      <border>
        <left style="thin">
          <color rgb="FFEE0000"/>
        </left>
        <right style="thin">
          <color rgb="FFEE0000"/>
        </right>
        <top style="thin">
          <color rgb="FFEE0000"/>
        </top>
        <bottom style="thin">
          <color rgb="FFEE0000"/>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Salary After Calculated</a:t>
            </a:r>
            <a:r>
              <a:rPr lang="en-US" baseline="0"/>
              <a:t> Benefits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749606334923587"/>
          <c:y val="0.15074226000116073"/>
          <c:w val="0.62689507251552434"/>
          <c:h val="0.70275913549848268"/>
        </c:manualLayout>
      </c:layout>
      <c:pieChart>
        <c:varyColors val="1"/>
        <c:ser>
          <c:idx val="0"/>
          <c:order val="0"/>
          <c:tx>
            <c:strRef>
              <c:f>Summary!$B$1</c:f>
              <c:strCache>
                <c:ptCount val="1"/>
                <c:pt idx="0">
                  <c:v>Amount</c:v>
                </c:pt>
              </c:strCache>
            </c:strRef>
          </c:tx>
          <c:dPt>
            <c:idx val="0"/>
            <c:bubble3D val="0"/>
            <c:spPr>
              <a:solidFill>
                <a:schemeClr val="accent3">
                  <a:tint val="48000"/>
                </a:schemeClr>
              </a:solidFill>
              <a:ln w="19050">
                <a:solidFill>
                  <a:schemeClr val="lt1"/>
                </a:solidFill>
              </a:ln>
              <a:effectLst/>
            </c:spPr>
            <c:extLst>
              <c:ext xmlns:c16="http://schemas.microsoft.com/office/drawing/2014/chart" uri="{C3380CC4-5D6E-409C-BE32-E72D297353CC}">
                <c16:uniqueId val="{00000001-4CD2-44BD-BABA-39FDDC82B940}"/>
              </c:ext>
            </c:extLst>
          </c:dPt>
          <c:dPt>
            <c:idx val="1"/>
            <c:bubble3D val="0"/>
            <c:spPr>
              <a:solidFill>
                <a:schemeClr val="accent3">
                  <a:tint val="65000"/>
                </a:schemeClr>
              </a:solidFill>
              <a:ln w="19050">
                <a:solidFill>
                  <a:schemeClr val="lt1"/>
                </a:solidFill>
              </a:ln>
              <a:effectLst/>
            </c:spPr>
            <c:extLst>
              <c:ext xmlns:c16="http://schemas.microsoft.com/office/drawing/2014/chart" uri="{C3380CC4-5D6E-409C-BE32-E72D297353CC}">
                <c16:uniqueId val="{00000003-4CD2-44BD-BABA-39FDDC82B940}"/>
              </c:ext>
            </c:extLst>
          </c:dPt>
          <c:dPt>
            <c:idx val="2"/>
            <c:bubble3D val="0"/>
            <c:spPr>
              <a:solidFill>
                <a:schemeClr val="accent3">
                  <a:tint val="83000"/>
                </a:schemeClr>
              </a:solidFill>
              <a:ln w="19050">
                <a:solidFill>
                  <a:schemeClr val="lt1"/>
                </a:solidFill>
              </a:ln>
              <a:effectLst/>
            </c:spPr>
            <c:extLst>
              <c:ext xmlns:c16="http://schemas.microsoft.com/office/drawing/2014/chart" uri="{C3380CC4-5D6E-409C-BE32-E72D297353CC}">
                <c16:uniqueId val="{00000005-4CD2-44BD-BABA-39FDDC82B940}"/>
              </c:ext>
            </c:extLst>
          </c:dPt>
          <c:dPt>
            <c:idx val="3"/>
            <c:bubble3D val="0"/>
            <c:spPr>
              <a:solidFill>
                <a:schemeClr val="accent3"/>
              </a:solidFill>
              <a:ln w="19050">
                <a:solidFill>
                  <a:schemeClr val="lt1"/>
                </a:solidFill>
              </a:ln>
              <a:effectLst/>
            </c:spPr>
            <c:extLst>
              <c:ext xmlns:c16="http://schemas.microsoft.com/office/drawing/2014/chart" uri="{C3380CC4-5D6E-409C-BE32-E72D297353CC}">
                <c16:uniqueId val="{00000007-4CD2-44BD-BABA-39FDDC82B940}"/>
              </c:ext>
            </c:extLst>
          </c:dPt>
          <c:dPt>
            <c:idx val="4"/>
            <c:bubble3D val="0"/>
            <c:spPr>
              <a:solidFill>
                <a:schemeClr val="accent3">
                  <a:shade val="82000"/>
                </a:schemeClr>
              </a:solidFill>
              <a:ln w="19050">
                <a:solidFill>
                  <a:schemeClr val="lt1"/>
                </a:solidFill>
              </a:ln>
              <a:effectLst/>
            </c:spPr>
            <c:extLst>
              <c:ext xmlns:c16="http://schemas.microsoft.com/office/drawing/2014/chart" uri="{C3380CC4-5D6E-409C-BE32-E72D297353CC}">
                <c16:uniqueId val="{00000009-4CD2-44BD-BABA-39FDDC82B940}"/>
              </c:ext>
            </c:extLst>
          </c:dPt>
          <c:dPt>
            <c:idx val="5"/>
            <c:bubble3D val="0"/>
            <c:spPr>
              <a:solidFill>
                <a:schemeClr val="accent3">
                  <a:shade val="65000"/>
                </a:schemeClr>
              </a:solidFill>
              <a:ln w="19050">
                <a:solidFill>
                  <a:schemeClr val="lt1"/>
                </a:solidFill>
              </a:ln>
              <a:effectLst/>
            </c:spPr>
            <c:extLst>
              <c:ext xmlns:c16="http://schemas.microsoft.com/office/drawing/2014/chart" uri="{C3380CC4-5D6E-409C-BE32-E72D297353CC}">
                <c16:uniqueId val="{0000000B-4CD2-44BD-BABA-39FDDC82B940}"/>
              </c:ext>
            </c:extLst>
          </c:dPt>
          <c:dPt>
            <c:idx val="6"/>
            <c:bubble3D val="0"/>
            <c:spPr>
              <a:solidFill>
                <a:schemeClr val="accent3">
                  <a:shade val="47000"/>
                </a:schemeClr>
              </a:solidFill>
              <a:ln w="19050">
                <a:solidFill>
                  <a:schemeClr val="lt1"/>
                </a:solidFill>
              </a:ln>
              <a:effectLst/>
            </c:spPr>
            <c:extLst>
              <c:ext xmlns:c16="http://schemas.microsoft.com/office/drawing/2014/chart" uri="{C3380CC4-5D6E-409C-BE32-E72D297353CC}">
                <c16:uniqueId val="{0000000D-4CD2-44BD-BABA-39FDDC82B940}"/>
              </c:ext>
            </c:extLst>
          </c:dPt>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Summary!$A$2:$A$8</c:f>
              <c:strCache>
                <c:ptCount val="7"/>
                <c:pt idx="0">
                  <c:v>PTO</c:v>
                </c:pt>
                <c:pt idx="1">
                  <c:v>Medical Insurance</c:v>
                </c:pt>
                <c:pt idx="2">
                  <c:v>HSA</c:v>
                </c:pt>
                <c:pt idx="3">
                  <c:v>Dental Insurance</c:v>
                </c:pt>
                <c:pt idx="4">
                  <c:v>Vision Insurance</c:v>
                </c:pt>
                <c:pt idx="5">
                  <c:v>Retirement Investment</c:v>
                </c:pt>
                <c:pt idx="6">
                  <c:v>Salary after Benefit Pay In</c:v>
                </c:pt>
              </c:strCache>
            </c:strRef>
          </c:cat>
          <c:val>
            <c:numRef>
              <c:f>Summary!$B$2:$B$8</c:f>
              <c:numCache>
                <c:formatCode>"$"#,##0.00</c:formatCode>
                <c:ptCount val="7"/>
                <c:pt idx="0">
                  <c:v>#N/A</c:v>
                </c:pt>
                <c:pt idx="1">
                  <c:v>#N/A</c:v>
                </c:pt>
                <c:pt idx="2">
                  <c:v>#N/A</c:v>
                </c:pt>
                <c:pt idx="3">
                  <c:v>#N/A</c:v>
                </c:pt>
                <c:pt idx="4">
                  <c:v>#N/A</c:v>
                </c:pt>
                <c:pt idx="5">
                  <c:v>#N/A</c:v>
                </c:pt>
                <c:pt idx="6">
                  <c:v>#N/A</c:v>
                </c:pt>
              </c:numCache>
            </c:numRef>
          </c:val>
          <c:extLst>
            <c:ext xmlns:c16="http://schemas.microsoft.com/office/drawing/2014/chart" uri="{C3380CC4-5D6E-409C-BE32-E72D297353CC}">
              <c16:uniqueId val="{00000010-4CD2-44BD-BABA-39FDDC82B940}"/>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withinLinearReversed" id="23">
  <a:schemeClr val="accent3"/>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93979</xdr:colOff>
      <xdr:row>19</xdr:row>
      <xdr:rowOff>66675</xdr:rowOff>
    </xdr:from>
    <xdr:to>
      <xdr:col>11</xdr:col>
      <xdr:colOff>517525</xdr:colOff>
      <xdr:row>48</xdr:row>
      <xdr:rowOff>90486</xdr:rowOff>
    </xdr:to>
    <xdr:graphicFrame macro="">
      <xdr:nvGraphicFramePr>
        <xdr:cNvPr id="6" name="Chart 1">
          <a:extLst>
            <a:ext uri="{FF2B5EF4-FFF2-40B4-BE49-F238E27FC236}">
              <a16:creationId xmlns:a16="http://schemas.microsoft.com/office/drawing/2014/main" id="{254DDEA6-D723-B007-5E5B-4784C2D4EF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0.41018</cdr:x>
      <cdr:y>0.04603</cdr:y>
    </cdr:from>
    <cdr:to>
      <cdr:x>0.60185</cdr:x>
      <cdr:y>0.09519</cdr:y>
    </cdr:to>
    <cdr:sp macro="" textlink="Summary!$E$1">
      <cdr:nvSpPr>
        <cdr:cNvPr id="2" name="TextBox 1">
          <a:extLst xmlns:a="http://schemas.openxmlformats.org/drawingml/2006/main">
            <a:ext uri="{FF2B5EF4-FFF2-40B4-BE49-F238E27FC236}">
              <a16:creationId xmlns:a16="http://schemas.microsoft.com/office/drawing/2014/main" id="{41A03CF7-E3CF-6008-96B0-D5B56477DA24}"/>
            </a:ext>
          </a:extLst>
        </cdr:cNvPr>
        <cdr:cNvSpPr txBox="1"/>
      </cdr:nvSpPr>
      <cdr:spPr>
        <a:xfrm xmlns:a="http://schemas.openxmlformats.org/drawingml/2006/main">
          <a:off x="2813040" y="279403"/>
          <a:ext cx="1314473" cy="29843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64ED5030-863A-4E6C-B094-068C6EEB7D72}" type="TxLink">
            <a:rPr lang="en-US" sz="1100" b="0" i="0" u="none" strike="noStrike" kern="1200">
              <a:solidFill>
                <a:srgbClr val="000000"/>
              </a:solidFill>
              <a:latin typeface="Calibri"/>
              <a:cs typeface="Calibri"/>
            </a:rPr>
            <a:pPr/>
            <a:t>Total: $0.00</a:t>
          </a:fld>
          <a:endParaRPr lang="en-US" sz="1100" kern="1200"/>
        </a:p>
      </cdr:txBody>
    </cdr:sp>
  </cdr:relSizeAnchor>
  <cdr:relSizeAnchor xmlns:cdr="http://schemas.openxmlformats.org/drawingml/2006/chartDrawing">
    <cdr:from>
      <cdr:x>0.14192</cdr:x>
      <cdr:y>0.25901</cdr:y>
    </cdr:from>
    <cdr:to>
      <cdr:x>0.84803</cdr:x>
      <cdr:y>0.75937</cdr:y>
    </cdr:to>
    <cdr:sp macro="" textlink="Calculator!$A$49">
      <cdr:nvSpPr>
        <cdr:cNvPr id="3" name="TextBox 2">
          <a:extLst xmlns:a="http://schemas.openxmlformats.org/drawingml/2006/main">
            <a:ext uri="{FF2B5EF4-FFF2-40B4-BE49-F238E27FC236}">
              <a16:creationId xmlns:a16="http://schemas.microsoft.com/office/drawing/2014/main" id="{B7794DD9-3934-8A20-4067-63466427DBBC}"/>
            </a:ext>
          </a:extLst>
        </cdr:cNvPr>
        <cdr:cNvSpPr txBox="1"/>
      </cdr:nvSpPr>
      <cdr:spPr>
        <a:xfrm xmlns:a="http://schemas.openxmlformats.org/drawingml/2006/main">
          <a:off x="957697" y="1381126"/>
          <a:ext cx="4764924" cy="266814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5562D616-2FFD-4D22-BCD9-FC1779C4AF8C}" type="TxLink">
            <a:rPr lang="en-US" sz="2400" b="1" i="0" u="none" strike="noStrike" kern="1200">
              <a:solidFill>
                <a:srgbClr val="EE0000"/>
              </a:solidFill>
              <a:latin typeface="Calibri"/>
              <a:cs typeface="Calibri"/>
            </a:rPr>
            <a:pPr algn="ctr"/>
            <a:t>NOT ACCURATE -- PLEASE FILL ALL BLUE FIELDS</a:t>
          </a:fld>
          <a:endParaRPr lang="en-US" sz="2400" kern="1200"/>
        </a:p>
      </cdr:txBody>
    </cdr:sp>
  </cdr:relSizeAnchor>
</c:userShape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F385265-645A-4468-B4DC-03227608ADD6}" name="Table2" displayName="Table2" ref="A1:B9" totalsRowCount="1" headerRowDxfId="12" dataDxfId="11" totalsRowDxfId="10">
  <autoFilter ref="A1:B8" xr:uid="{0F385265-645A-4468-B4DC-03227608ADD6}"/>
  <tableColumns count="2">
    <tableColumn id="1" xr3:uid="{C830125E-8A18-4654-B40D-40BB9AE2C584}" name="Benefit" totalsRowLabel="Total" dataDxfId="8" totalsRowDxfId="9"/>
    <tableColumn id="2" xr3:uid="{D3CB229E-E556-4223-9317-D5402F54B750}" name="Amount" totalsRowFunction="custom" dataDxfId="6" totalsRowDxfId="7">
      <calculatedColumnFormula>SUM(Calculator!B19:B20)</calculatedColumnFormula>
      <totalsRowFormula>_xlfn.AGGREGATE(9,6,Table2[Amount])</totalsRow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8A0D35C-8E24-4C60-B3BD-E0CE858BAE75}" name="Table1" displayName="Table1" ref="A2:D23" totalsRowShown="0" headerRowDxfId="5" dataDxfId="4">
  <autoFilter ref="A2:D23" xr:uid="{08A0D35C-8E24-4C60-B3BD-E0CE858BAE75}"/>
  <tableColumns count="4">
    <tableColumn id="1" xr3:uid="{21DFA14C-CE99-48EA-A1C9-740D1F39B8E9}" name="Years Worked" dataDxfId="3"/>
    <tableColumn id="2" xr3:uid="{37B8EE2E-E06E-4B78-8F59-C22C44E665EC}" name="Standard" dataDxfId="2"/>
    <tableColumn id="3" xr3:uid="{00A5D288-DA8D-412D-A2BA-8B5E0BFB12F8}" name="Good Life" dataDxfId="1"/>
    <tableColumn id="5" xr3:uid="{E8AA06A0-7043-4525-B572-5E01115A9A6B}" name="SCA Full-Time"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Blue">
      <a:dk1>
        <a:sysClr val="windowText" lastClr="000000"/>
      </a:dk1>
      <a:lt1>
        <a:sysClr val="window" lastClr="FFFFFF"/>
      </a:lt1>
      <a:dk2>
        <a:srgbClr val="17406D"/>
      </a:dk2>
      <a:lt2>
        <a:srgbClr val="DBEFF9"/>
      </a:lt2>
      <a:accent1>
        <a:srgbClr val="0F6FC6"/>
      </a:accent1>
      <a:accent2>
        <a:srgbClr val="009DD9"/>
      </a:accent2>
      <a:accent3>
        <a:srgbClr val="0BD0D9"/>
      </a:accent3>
      <a:accent4>
        <a:srgbClr val="10CF9B"/>
      </a:accent4>
      <a:accent5>
        <a:srgbClr val="7CCA62"/>
      </a:accent5>
      <a:accent6>
        <a:srgbClr val="A5C249"/>
      </a:accent6>
      <a:hlink>
        <a:srgbClr val="F49100"/>
      </a:hlink>
      <a:folHlink>
        <a:srgbClr val="85DFD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63"/>
  <sheetViews>
    <sheetView tabSelected="1" zoomScaleNormal="100" workbookViewId="0">
      <selection activeCell="C4" sqref="C4"/>
    </sheetView>
  </sheetViews>
  <sheetFormatPr defaultRowHeight="14.45"/>
  <cols>
    <col min="1" max="1" width="48.42578125" customWidth="1"/>
    <col min="2" max="2" width="23.140625" bestFit="1" customWidth="1"/>
    <col min="3" max="3" width="11.140625" bestFit="1" customWidth="1"/>
    <col min="4" max="4" width="11.85546875" customWidth="1"/>
    <col min="5" max="5" width="26.42578125" customWidth="1"/>
    <col min="13" max="13" width="12.42578125" bestFit="1" customWidth="1"/>
    <col min="16" max="16" width="12.5703125" bestFit="1" customWidth="1"/>
    <col min="17" max="17" width="12.140625" bestFit="1" customWidth="1"/>
  </cols>
  <sheetData>
    <row r="1" spans="1:5" ht="18.600000000000001">
      <c r="A1" s="47" t="s">
        <v>0</v>
      </c>
      <c r="B1" s="47"/>
      <c r="C1" s="6"/>
      <c r="D1" s="6"/>
      <c r="E1" s="6"/>
    </row>
    <row r="2" spans="1:5" ht="33.950000000000003" customHeight="1">
      <c r="A2" s="50" t="s">
        <v>1</v>
      </c>
      <c r="B2" s="50"/>
      <c r="C2" s="6"/>
      <c r="D2" s="6"/>
      <c r="E2" s="6"/>
    </row>
    <row r="3" spans="1:5" ht="14.45" customHeight="1">
      <c r="A3" s="39"/>
      <c r="B3" s="39"/>
      <c r="C3" s="6"/>
      <c r="D3" s="6"/>
      <c r="E3" s="6"/>
    </row>
    <row r="4" spans="1:5" ht="98.45" customHeight="1">
      <c r="A4" s="52" t="s">
        <v>2</v>
      </c>
      <c r="B4" s="52"/>
      <c r="C4" s="6"/>
      <c r="D4" s="6"/>
      <c r="E4" s="6"/>
    </row>
    <row r="5" spans="1:5">
      <c r="A5" s="6"/>
      <c r="B5" s="6"/>
      <c r="C5" s="6"/>
      <c r="D5" s="6"/>
      <c r="E5" s="6"/>
    </row>
    <row r="6" spans="1:5" ht="15.95" thickBot="1">
      <c r="A6" s="46" t="s">
        <v>3</v>
      </c>
      <c r="B6" s="46"/>
      <c r="C6" s="6"/>
      <c r="D6" s="6"/>
      <c r="E6" s="6"/>
    </row>
    <row r="7" spans="1:5">
      <c r="A7" s="33" t="s">
        <v>4</v>
      </c>
      <c r="B7" s="20"/>
      <c r="C7" s="6"/>
      <c r="D7" s="6"/>
      <c r="E7" s="6"/>
    </row>
    <row r="8" spans="1:5">
      <c r="A8" s="16" t="s">
        <v>5</v>
      </c>
      <c r="B8" s="22"/>
      <c r="C8" s="6"/>
      <c r="D8" s="6"/>
      <c r="E8" s="6"/>
    </row>
    <row r="9" spans="1:5">
      <c r="A9" s="16" t="s">
        <v>6</v>
      </c>
      <c r="B9" s="23"/>
      <c r="C9" s="6"/>
      <c r="D9" s="6"/>
      <c r="E9" s="6"/>
    </row>
    <row r="10" spans="1:5">
      <c r="A10" s="16" t="str">
        <f>IF(B7="Service Contract Employee","Hours Worked Weekly", "N/A")</f>
        <v>N/A</v>
      </c>
      <c r="B10" s="2"/>
      <c r="C10" s="6"/>
      <c r="D10" s="6"/>
      <c r="E10" s="6"/>
    </row>
    <row r="11" spans="1:5" ht="15" thickBot="1">
      <c r="A11" s="27" t="s">
        <v>7</v>
      </c>
      <c r="B11" s="7" t="str" cm="1">
        <f t="array" ref="B11">_xlfn.IFS(B7="Standard",B9*40*52,B7="Good Life",B9*36*52,B7="Service Contract Employee",B9*B10*52,TRUE,"N/A")</f>
        <v>N/A</v>
      </c>
      <c r="C11" s="6"/>
      <c r="D11" s="6"/>
      <c r="E11" s="6"/>
    </row>
    <row r="12" spans="1:5">
      <c r="A12" s="6"/>
      <c r="B12" s="37"/>
      <c r="C12" s="6"/>
      <c r="D12" s="6"/>
      <c r="E12" s="6"/>
    </row>
    <row r="13" spans="1:5" ht="15.95" thickBot="1">
      <c r="A13" s="48" t="s">
        <v>8</v>
      </c>
      <c r="B13" s="48"/>
      <c r="C13" s="6"/>
      <c r="D13" s="6"/>
      <c r="E13" s="6"/>
    </row>
    <row r="14" spans="1:5" ht="15" thickBot="1">
      <c r="A14" s="38" t="str">
        <f>IF(B7="Service Contract Employee","Vacation Time* (Yearly Maximum Accrual)","PTO* (Yearly Maximum Accrual)")</f>
        <v>PTO* (Yearly Maximum Accrual)</v>
      </c>
      <c r="B14" s="8" t="str" cm="1">
        <f t="array" ref="B14">_xlfn.IFS(B7="Service Contract Employee",(((B10*52)/(40*52))*_xlfn.XLOOKUP(B8,Table1[Years Worked],Table1[SCA Full-Time]))*Calculator!B9,Calculator!B7="Standard",_xlfn.XLOOKUP(Calculator!B8,Table1[Years Worked],Table1[Standard],PTO!B23)*Calculator!B9,Calculator!B7="Good Life",_xlfn.XLOOKUP(Calculator!B8,Table1[Years Worked],Table1[Good Life],PTO!C23)*Calculator!B9,TRUE,"N/A")</f>
        <v>N/A</v>
      </c>
      <c r="C14" s="6"/>
      <c r="D14" s="6"/>
      <c r="E14" s="6"/>
    </row>
    <row r="15" spans="1:5" ht="30.95" customHeight="1">
      <c r="A15" s="51" t="str">
        <f>IF(B7="Standard","*This is assuming you use all PTO earned in one year. If you have over 184 hours of PTO, you could also use PTO buyback to receive 50%/hr on your paycheck anytime.","")</f>
        <v/>
      </c>
      <c r="B15" s="51"/>
      <c r="C15" s="6"/>
      <c r="D15" s="6"/>
      <c r="E15" s="6"/>
    </row>
    <row r="16" spans="1:5">
      <c r="A16" s="6"/>
      <c r="B16" s="26"/>
      <c r="C16" s="6"/>
      <c r="D16" s="6"/>
      <c r="E16" s="6"/>
    </row>
    <row r="17" spans="1:5" ht="15.95" thickBot="1">
      <c r="A17" s="48" t="s">
        <v>9</v>
      </c>
      <c r="B17" s="48"/>
      <c r="C17" s="6"/>
      <c r="D17" s="6"/>
      <c r="E17" s="6"/>
    </row>
    <row r="18" spans="1:5">
      <c r="A18" s="33" t="s">
        <v>10</v>
      </c>
      <c r="B18" s="20"/>
      <c r="C18" s="6"/>
      <c r="D18" s="6"/>
      <c r="E18" s="6"/>
    </row>
    <row r="19" spans="1:5">
      <c r="A19" s="16" t="s">
        <v>11</v>
      </c>
      <c r="B19" s="4"/>
      <c r="C19" s="6"/>
      <c r="D19" s="6"/>
      <c r="E19" s="6"/>
    </row>
    <row r="20" spans="1:5">
      <c r="A20" s="16" t="s">
        <v>12</v>
      </c>
      <c r="B20" s="9" t="str" cm="1">
        <f t="array" ref="B20">_xlfn.IFS(AND(B18="Opt Out", B7="Service Contract Employee"),"Can't Opt Out as an SCA",AND(B18="Opt Out", B7&lt;&gt;"Service Contract Employee"),0,AND(B7="Service Contract Employee",B10&lt;30),0,AND(B7="Standard",B18="High Deductible",B19="Employee"),102.26*12,
AND(B7="Standard",B18="High Deductible",B19="Employee + 1"),282.9*12,
AND(B7="Standard",B18="High Deductible",B19="Family"),510.04*12,
AND(B7="Standard",B18="Major Medical Copay",B19="Employee"),169.68*12,
AND(B7="Standard",B18="Major Medical Copay",B19="Employee + 1"),437.62*12,
AND(B7="Standard",B18="Major Medical Copay",B19="Family"),610.08*12,
AND(B7="Standard",B18="Major Medical Premium",B19="Employee"),232.26*12,
AND(B7="Standard",B18="Major Medical Premium",B19="Employee + 1"),588.22*12,
AND(B7="Standard",B18="Major Medical Premium",B19="Family"),766.22*12,
AND(B7="Good Life",B18="High Deductible",B19="Employee"),102.26*12,
AND(B7="Good Life",B18="High Deductible",B19="Employee + 1"),282.9*12,
AND(B7="Good Life",B18="High Deductible",B19="Family"),510.04*12,
AND(B7="Good Life",B18="Major Medical Copay",B19="Employee"),169.68*12,
AND(B7="Good Life",B18="Major Medical Copay",B19="Employee + 1"),437.62*12,
AND(B7="Good Life",B18="Major Medical Copay",B19="Family"),610.08*12,
AND(B7="Good Life",B18="Major Medical Premium",B19="Employee"),232.26*12,
AND(B7="Good Life",B18="Major Medical Premium",B19="Employee + 1"),588.22*12,
AND(B7="Good Life",B18="Major Medical Premium",B19="Family"),766.22*12,
AND(B7="Service Contract Employee",B18="High Deductible",B19="Employee"),0,
AND(B7="Service Contract Employee",B18="High Deductible",B19="Employee + 1"),602.42*12,
AND(B7="Service Contract Employee",B18="High Deductible",B19="Family"),1024.1*12,
AND(B7="Service Contract Employee",B18="Major Medical Copay",B19="Employee"),112.44*12,
AND(B7="Service Contract Employee",B18="Major Medical Copay",B19="Employee + 1"),902.54*12,
AND(B7="Service Contract Employee",B18="Major Medical Copay",B19="Family"),1429.26*12,
AND(B7="Service Contract Employee",B18="Major Medical Premium",B19="Employee"),202.32*12,
AND(B7="Service Contract Employee",B18="Major Medical Premium",B19="Employee + 1"),1091.72*12,
AND(B7="Service Contract Employee",B18="Major Medical Premium",B19="Family"),1684.68*12,TRUE,"N/A")</f>
        <v>N/A</v>
      </c>
      <c r="C20" s="6"/>
      <c r="D20" s="6"/>
      <c r="E20" s="6"/>
    </row>
    <row r="21" spans="1:5" ht="15" thickBot="1">
      <c r="A21" s="27" t="s">
        <v>13</v>
      </c>
      <c r="B21" s="10" t="str" cm="1">
        <f t="array" ref="B21">_xlfn.IFS(AND(B18="Opt Out", B7="Service Contract Employee"),"Can't Opt Out as an SCA",AND(B18="Opt Out", B7&lt;&gt;"Service Contract Employee"),0,AND(B7="Service Contract Employee",B10&lt;30),0,AND(B7="Standard",B18="High Deductible",B19="Employee"),642.2*12,
AND(B7="Standard",B18="High Deductible",B19="Employee + 1"),1284.38*12,
AND(B7="Standard",B18="High Deductible",B19="Family"),1605.78*12,
AND(B7="Standard",B18="Major Medical Copay",B19="Employee"),763.6*12,
AND(B7="Standard",B18="Major Medical Copay",B19="Employee + 1"),1527.18*12,
AND(B7="Standard",B18="Major Medical Copay",B19="Family"),2042.38*12,
AND(B7="Standard",B18="Major Medical Premium",B19="Employee"),818.36*12,
AND(B7="Standard",B18="Major Medical Premium",B19="Employee + 1"),1623.52*12,
AND(B7="Standard",B18="Major Medical Premium",B19="Family"),2219.68*12,
AND(B7="Good Life",B18="High Deductible",B19="Employee"),642.2*12,
AND(B7="Good Life",B18="High Deductible",B19="Employee + 1"),1284.38*12,
AND(B7="Good Life",B18="High Deductible",B19="Family"),1605.78*12,
AND(B7="Good Life",B18="Major Medical Copay",B19="Employee"),763.6*12,
AND(B7="Good Life",B18="Major Medical Copay",B19="Employee + 1"),1527.18*12,
AND(B7="Good Life",B18="Major Medical Copay",B19="Family"),2042.38*12,
AND(B7="Good Life",B18="Major Medical Premium",B19="Employee"),818.36*12,
AND(B7="Good Life",B18="Major Medical Premium",B19="Employee + 1"),1623.56*12,
AND(B7="Good Life",B18="Major Medical Premium",B19="Family"),2219.68*12,
B7="Service Contract Employee",602.42*12,TRUE,"N/A")</f>
        <v>N/A</v>
      </c>
      <c r="C21" s="6"/>
      <c r="D21" s="6"/>
      <c r="E21" s="6"/>
    </row>
    <row r="22" spans="1:5">
      <c r="A22" s="6"/>
      <c r="B22" s="5"/>
      <c r="C22" s="6"/>
      <c r="D22" s="6"/>
      <c r="E22" s="6"/>
    </row>
    <row r="23" spans="1:5" ht="33" customHeight="1" thickBot="1">
      <c r="A23" s="49" t="s">
        <v>14</v>
      </c>
      <c r="B23" s="49"/>
      <c r="C23" s="6"/>
      <c r="D23" s="6"/>
      <c r="E23" s="6"/>
    </row>
    <row r="24" spans="1:5">
      <c r="A24" s="36" t="str">
        <f>IF(B7="Service Contract Employee","","HSA Yearly Pay In ($0 to Opt Out)")</f>
        <v>HSA Yearly Pay In ($0 to Opt Out)</v>
      </c>
      <c r="B24" s="3"/>
      <c r="C24" s="6"/>
      <c r="D24" s="6"/>
      <c r="E24" s="6"/>
    </row>
    <row r="25" spans="1:5" ht="15" thickBot="1">
      <c r="A25" s="27" t="str">
        <f>IF(B7="Service Contract Employee","","HSA Employer Yearly Pay In")</f>
        <v>HSA Employer Yearly Pay In</v>
      </c>
      <c r="B25" s="10" t="str">
        <f>IF(OR(B7="Service Contract Employee",B18="Major Medical Copay",B18="Major Medical Premium",B18="Opt Out"),0,IF(AND(B18="High Deductible",B19="Employee"),IF(B24&lt;=1000,B24,1000),IF(AND(B18="High Deductible",B19="Employee + 1"),IF(B24&lt;=1500,B24,1500),IF(AND(B18="High Deductible",B19="Family"),IF(B24&lt;=2000,B24,2000),"N/A"))))</f>
        <v>N/A</v>
      </c>
      <c r="C25" s="6"/>
      <c r="D25" s="6"/>
      <c r="E25" s="6"/>
    </row>
    <row r="26" spans="1:5">
      <c r="A26" s="6"/>
      <c r="B26" s="5"/>
      <c r="C26" s="6"/>
      <c r="D26" s="6"/>
      <c r="E26" s="6"/>
    </row>
    <row r="27" spans="1:5" ht="15.95" thickBot="1">
      <c r="A27" s="46" t="s">
        <v>15</v>
      </c>
      <c r="B27" s="46"/>
      <c r="C27" s="46"/>
      <c r="D27" s="6"/>
      <c r="E27" s="6"/>
    </row>
    <row r="28" spans="1:5" ht="30.95">
      <c r="A28" s="42" t="s">
        <v>16</v>
      </c>
      <c r="B28" s="40" t="s">
        <v>17</v>
      </c>
      <c r="C28" s="41"/>
      <c r="D28" s="6"/>
      <c r="E28" s="6"/>
    </row>
    <row r="29" spans="1:5">
      <c r="A29" s="16" t="s">
        <v>18</v>
      </c>
      <c r="B29" s="24" t="b">
        <v>0</v>
      </c>
      <c r="C29" s="11" cm="1">
        <f t="array" ref="C29">IF(AND(B7="Service Contract Employee",B10&lt;30),0,_xlfn.IFS(AND(B29=TRUE,C28&gt;=75),0.2*20000,AND(B29=TRUE,C28&gt;=70,C28&lt;75),0.4*20000,AND(B29=TRUE,C28&gt;=65,C28&lt;70),0.65*20000,AND(B29=TRUE,C28&lt;65),20000,TRUE,0))</f>
        <v>0</v>
      </c>
      <c r="D29" s="6"/>
      <c r="E29" s="6"/>
    </row>
    <row r="30" spans="1:5">
      <c r="A30" s="16" t="s">
        <v>19</v>
      </c>
      <c r="B30" s="24" t="b">
        <v>0</v>
      </c>
      <c r="C30" s="11">
        <f>IF(AND(B7="Service Contract Employee",B10&lt;30),0,IF(B30=TRUE,2000,0))</f>
        <v>0</v>
      </c>
      <c r="D30" s="6"/>
      <c r="E30" s="6"/>
    </row>
    <row r="31" spans="1:5">
      <c r="A31" s="16" t="s">
        <v>20</v>
      </c>
      <c r="B31" s="25">
        <v>0</v>
      </c>
      <c r="C31" s="11">
        <f>IF(AND(B7="Service Contract Employee",B10&lt;30),0,B31*100)</f>
        <v>0</v>
      </c>
      <c r="D31" s="6"/>
      <c r="E31" s="6"/>
    </row>
    <row r="32" spans="1:5" ht="15" thickBot="1">
      <c r="A32" s="27" t="s">
        <v>21</v>
      </c>
      <c r="B32" s="21">
        <v>0</v>
      </c>
      <c r="C32" s="12">
        <f>IF(AND(B7="Service Contract Employee",B10&lt;30),0,B32*1000)</f>
        <v>0</v>
      </c>
      <c r="D32" s="6"/>
      <c r="E32" s="6"/>
    </row>
    <row r="33" spans="1:5">
      <c r="A33" s="6"/>
      <c r="B33" s="6"/>
      <c r="C33" s="6"/>
      <c r="D33" s="6"/>
      <c r="E33" s="35"/>
    </row>
    <row r="34" spans="1:5" ht="15.95" thickBot="1">
      <c r="A34" s="48" t="s">
        <v>22</v>
      </c>
      <c r="B34" s="48"/>
      <c r="C34" s="6"/>
      <c r="D34" s="6"/>
      <c r="E34" s="6"/>
    </row>
    <row r="35" spans="1:5">
      <c r="A35" s="34" t="s">
        <v>23</v>
      </c>
      <c r="B35" s="20"/>
      <c r="C35" s="6"/>
      <c r="D35" s="6"/>
      <c r="E35" s="6"/>
    </row>
    <row r="36" spans="1:5">
      <c r="A36" s="16" t="s">
        <v>12</v>
      </c>
      <c r="B36" s="9" t="str">
        <f>IF(AND(B7="Service Contract Employee",B10&lt;30),0,IF(B35="Opt Out",0,IF(B35="Employee",9*12,IF(B35="Family",33*12,"N/A"))))</f>
        <v>N/A</v>
      </c>
      <c r="C36" s="6"/>
      <c r="D36" s="6"/>
      <c r="E36" s="6"/>
    </row>
    <row r="37" spans="1:5" ht="15" thickBot="1">
      <c r="A37" s="27" t="s">
        <v>13</v>
      </c>
      <c r="B37" s="10" t="str" cm="1">
        <f t="array" ref="B37">IF(AND(B7="Service Contract Employee",B10&lt;30),0,_xlfn.IFS(B35="Opt Out",0,B35="Employee",28*12,B35="Family",97*12,TRUE,"N/A"))</f>
        <v>N/A</v>
      </c>
      <c r="C37" s="6"/>
      <c r="D37" s="6"/>
      <c r="E37" s="6"/>
    </row>
    <row r="38" spans="1:5">
      <c r="A38" s="6"/>
      <c r="B38" s="5"/>
      <c r="C38" s="6"/>
      <c r="D38" s="6"/>
      <c r="E38" s="6"/>
    </row>
    <row r="39" spans="1:5" ht="15.95" thickBot="1">
      <c r="A39" s="48" t="s">
        <v>24</v>
      </c>
      <c r="B39" s="48"/>
      <c r="C39" s="6"/>
      <c r="D39" s="6"/>
      <c r="E39" s="6"/>
    </row>
    <row r="40" spans="1:5">
      <c r="A40" s="34" t="s">
        <v>25</v>
      </c>
      <c r="B40" s="19"/>
      <c r="C40" s="6"/>
      <c r="D40" s="6"/>
      <c r="E40" s="6"/>
    </row>
    <row r="41" spans="1:5" ht="15" thickBot="1">
      <c r="A41" s="27" t="s">
        <v>12</v>
      </c>
      <c r="B41" s="10" t="str">
        <f>IF(AND(B7="Service Contract Employee",B10&lt;30),0,IF(B40="Opt Out",0,IF(B40="Employee",12.3*12,IF(B40="Family",32.4*12,IF(B40="Employee + 1",19.68*12,IF(B40="Employee + Children",20.1*12,"N/A"))))))</f>
        <v>N/A</v>
      </c>
      <c r="C41" s="6"/>
      <c r="D41" s="6"/>
      <c r="E41" s="6"/>
    </row>
    <row r="42" spans="1:5">
      <c r="A42" s="6"/>
      <c r="B42" s="5"/>
      <c r="C42" s="6"/>
      <c r="D42" s="6"/>
      <c r="E42" s="6"/>
    </row>
    <row r="43" spans="1:5" ht="15.95" thickBot="1">
      <c r="A43" s="48" t="s">
        <v>26</v>
      </c>
      <c r="B43" s="48"/>
      <c r="C43" s="32"/>
      <c r="D43" s="32"/>
      <c r="E43" s="6"/>
    </row>
    <row r="44" spans="1:5">
      <c r="A44" s="33" t="s">
        <v>27</v>
      </c>
      <c r="B44" s="18"/>
      <c r="C44" s="17"/>
      <c r="D44" s="5"/>
      <c r="E44" s="6"/>
    </row>
    <row r="45" spans="1:5">
      <c r="A45" s="16" t="s">
        <v>12</v>
      </c>
      <c r="B45" s="13" t="str">
        <f>IFERROR(IF(AND(B7="Service Contract Employee",B11&lt;30),0,B11*B44),"N/A")</f>
        <v>N/A</v>
      </c>
      <c r="C45" s="17"/>
      <c r="D45" s="5"/>
      <c r="E45" s="6"/>
    </row>
    <row r="46" spans="1:5" ht="15" thickBot="1">
      <c r="A46" s="27" t="s">
        <v>13</v>
      </c>
      <c r="B46" s="14" t="str">
        <f>IFERROR(IF(AND(B44&lt;=0.05,B44&gt;=0),B44*B11,IF(B44&gt;=0,B11*0.05,"N/A")),"N/A")</f>
        <v>N/A</v>
      </c>
      <c r="C46" s="17"/>
      <c r="D46" s="5"/>
      <c r="E46" s="6"/>
    </row>
    <row r="47" spans="1:5">
      <c r="A47" s="6"/>
      <c r="B47" s="6"/>
      <c r="C47" s="6"/>
      <c r="D47" s="6"/>
      <c r="E47" s="6"/>
    </row>
    <row r="48" spans="1:5" ht="15.95" thickBot="1">
      <c r="A48" s="46" t="s">
        <v>28</v>
      </c>
      <c r="B48" s="46"/>
      <c r="C48" s="6"/>
      <c r="D48" s="6"/>
      <c r="E48" s="6"/>
    </row>
    <row r="49" spans="1:5" ht="15.95" thickBot="1">
      <c r="A49" s="44" t="str">
        <f>IF(OR(B7="",B8="",B9="",B18="",B35="",B40="",B44="",AND(C28="",B29=TRUE),AND(B7="Service Contract Employee",B10=""),AND(B18&lt;&gt;"Opt Out",B19=""),AND(B7&lt;&gt;"Service Contract Employee",B18="High Deductible",B24=""),AND(B7="Service Contract Employee", B18="Opt Out")),"NOT ACCURATE -- PLEASE FILL ALL BLUE FIELDS","")</f>
        <v>NOT ACCURATE -- PLEASE FILL ALL BLUE FIELDS</v>
      </c>
      <c r="B49" s="45"/>
      <c r="C49" s="6"/>
      <c r="D49" s="6"/>
      <c r="E49" s="6"/>
    </row>
    <row r="50" spans="1:5">
      <c r="A50" s="43" t="s">
        <v>29</v>
      </c>
      <c r="B50" s="5" t="str" cm="1">
        <f t="array" ref="B50">IFERROR(_xlfn.IFS(AND(B18="High Deductible",B7&lt;&gt;"Service Contract Employee"),B11-B20-B24-B36-B41-B45,AND(B7="Service Contract Employee",B10&gt;=30),B11-B20-B36-B41-B45,AND(B7="Service Contract Employee",B10&lt;30),B11-B20-B36-B41-B45,B18&lt;&gt;"High Deductible",B11-B20-B36-B41-B45),"N/A")</f>
        <v>N/A</v>
      </c>
      <c r="C50" s="28"/>
      <c r="D50" s="28"/>
      <c r="E50" s="29"/>
    </row>
    <row r="51" spans="1:5" ht="15" thickBot="1">
      <c r="A51" s="27" t="s">
        <v>30</v>
      </c>
      <c r="B51" s="15" t="str" cm="1">
        <f t="array" ref="B51">IFERROR(_xlfn.IFS(AND(B18="High Deductible",B7&lt;&gt;"Service Contract Employee"),B50+B14+B20+B21+B24+B25+B36+B37+B41+B45+B46,AND(B7="Service Contract Employee",B10&gt;=30),B50+B14+B20+B21+B36+B37+B41+B45+B46,AND(B7="Service Contract Employee",B10&lt;30),B50+B14+B20+B21+B36+B37+B41+B45+B46,AND(B18&lt;&gt;"High Deductible",B7&lt;&gt;"Service Contract Employee"),B50+B14+B20+B21+B36+B37+B41+B45+B46),"N/A")</f>
        <v>N/A</v>
      </c>
      <c r="C51" s="30" t="s">
        <v>31</v>
      </c>
      <c r="D51" s="15" cm="1">
        <f t="array" ref="D51">_xlfn.IFS(AND(B29=TRUE,ISBLANK(C28)),"Enter Age",AND(B29=TRUE,NOT(ISBLANK(C28))),SUM(C29:C32),TRUE,SUM(C30:C32))</f>
        <v>0</v>
      </c>
      <c r="E51" s="31" t="s">
        <v>32</v>
      </c>
    </row>
    <row r="52" spans="1:5" ht="15.6">
      <c r="A52" s="32" t="s">
        <v>33</v>
      </c>
      <c r="B52" s="6"/>
      <c r="C52" s="6"/>
      <c r="D52" s="6"/>
      <c r="E52" s="6"/>
    </row>
    <row r="53" spans="1:5">
      <c r="A53" s="6" t="s">
        <v>34</v>
      </c>
      <c r="B53" s="6"/>
      <c r="C53" s="6"/>
      <c r="D53" s="6"/>
      <c r="E53" s="6"/>
    </row>
    <row r="54" spans="1:5">
      <c r="A54" s="6" t="s">
        <v>35</v>
      </c>
      <c r="B54" s="6"/>
      <c r="C54" s="6"/>
      <c r="D54" s="6"/>
      <c r="E54" s="6"/>
    </row>
    <row r="55" spans="1:5">
      <c r="A55" s="6" t="s">
        <v>36</v>
      </c>
      <c r="B55" s="6"/>
      <c r="C55" s="6"/>
      <c r="D55" s="6"/>
      <c r="E55" s="6"/>
    </row>
    <row r="56" spans="1:5">
      <c r="A56" s="6" t="s">
        <v>37</v>
      </c>
      <c r="B56" s="6"/>
      <c r="C56" s="6"/>
      <c r="D56" s="6"/>
      <c r="E56" s="6"/>
    </row>
    <row r="57" spans="1:5">
      <c r="A57" s="6" t="s">
        <v>38</v>
      </c>
      <c r="B57" s="6"/>
      <c r="C57" s="6"/>
      <c r="D57" s="6"/>
      <c r="E57" s="6"/>
    </row>
    <row r="58" spans="1:5">
      <c r="A58" s="6" t="s">
        <v>39</v>
      </c>
      <c r="B58" s="6"/>
      <c r="C58" s="6"/>
      <c r="D58" s="6"/>
      <c r="E58" s="6"/>
    </row>
    <row r="59" spans="1:5">
      <c r="A59" s="6" t="s">
        <v>40</v>
      </c>
      <c r="B59" s="6"/>
      <c r="C59" s="6"/>
      <c r="D59" s="6"/>
      <c r="E59" s="6"/>
    </row>
    <row r="60" spans="1:5">
      <c r="A60" s="6" t="s">
        <v>41</v>
      </c>
      <c r="B60" s="6"/>
      <c r="C60" s="6"/>
      <c r="D60" s="6"/>
      <c r="E60" s="6"/>
    </row>
    <row r="61" spans="1:5">
      <c r="A61" s="6" t="s">
        <v>42</v>
      </c>
      <c r="B61" s="6"/>
      <c r="C61" s="6"/>
      <c r="D61" s="6"/>
      <c r="E61" s="6"/>
    </row>
    <row r="62" spans="1:5">
      <c r="A62" s="6" t="s">
        <v>43</v>
      </c>
      <c r="B62" s="6"/>
      <c r="C62" s="6"/>
      <c r="D62" s="6"/>
      <c r="E62" s="6"/>
    </row>
    <row r="63" spans="1:5">
      <c r="A63" s="6" t="s">
        <v>44</v>
      </c>
      <c r="B63" s="6"/>
      <c r="C63" s="6"/>
      <c r="D63" s="6"/>
      <c r="E63" s="6"/>
    </row>
  </sheetData>
  <sheetProtection algorithmName="SHA-512" hashValue="0L2SFzrJ/FdTM6iXQbSYZxKIvaKEz8uXzIYMqOr8wbLE/7xgFR6jZ/6QJwzvgqk0HWqKP7QZaeAiP2abCsLZTw==" saltValue="pk9Wwy9MZeBH69bCPMQJZw==" spinCount="100000" sheet="1" objects="1" scenarios="1" selectLockedCells="1"/>
  <mergeCells count="14">
    <mergeCell ref="A49:B49"/>
    <mergeCell ref="A48:B48"/>
    <mergeCell ref="A1:B1"/>
    <mergeCell ref="A43:B43"/>
    <mergeCell ref="A6:B6"/>
    <mergeCell ref="A23:B23"/>
    <mergeCell ref="A17:B17"/>
    <mergeCell ref="A27:C27"/>
    <mergeCell ref="A34:B34"/>
    <mergeCell ref="A2:B2"/>
    <mergeCell ref="A13:B13"/>
    <mergeCell ref="A39:B39"/>
    <mergeCell ref="A15:B15"/>
    <mergeCell ref="A4:B4"/>
  </mergeCells>
  <conditionalFormatting sqref="B7:B9 B35 B40 B44">
    <cfRule type="containsBlanks" dxfId="27" priority="14">
      <formula>LEN(TRIM(B7))=0</formula>
    </cfRule>
  </conditionalFormatting>
  <conditionalFormatting sqref="B10">
    <cfRule type="expression" dxfId="26" priority="13">
      <formula>AND(B7="Service Contract Employee", B10="")</formula>
    </cfRule>
    <cfRule type="expression" dxfId="25" priority="20">
      <formula>A10="N/A"</formula>
    </cfRule>
    <cfRule type="expression" dxfId="24" priority="21">
      <formula>A10="Hours Worked Weekly"</formula>
    </cfRule>
  </conditionalFormatting>
  <conditionalFormatting sqref="B18">
    <cfRule type="expression" dxfId="23" priority="9">
      <formula>AND(B18="Opt Out", B7="Service Contract Employee")</formula>
    </cfRule>
    <cfRule type="containsBlanks" dxfId="22" priority="10">
      <formula>LEN(TRIM(B18))=0</formula>
    </cfRule>
  </conditionalFormatting>
  <conditionalFormatting sqref="B19">
    <cfRule type="expression" dxfId="21" priority="12">
      <formula>AND(B18&lt;&gt;"Opt Out",B19="")</formula>
    </cfRule>
    <cfRule type="expression" dxfId="20" priority="18">
      <formula>B18&lt;&gt;"Opt Out"</formula>
    </cfRule>
    <cfRule type="expression" dxfId="19" priority="19">
      <formula>B18="Opt Out"</formula>
    </cfRule>
  </conditionalFormatting>
  <conditionalFormatting sqref="B20:B21">
    <cfRule type="containsText" dxfId="18" priority="8" operator="containsText" text="SCA">
      <formula>NOT(ISERROR(SEARCH("SCA",B20)))</formula>
    </cfRule>
  </conditionalFormatting>
  <conditionalFormatting sqref="B24">
    <cfRule type="expression" dxfId="17" priority="11">
      <formula>AND(B18="High Deductible",B24="",B7&lt;&gt;"Service Contract Employee")</formula>
    </cfRule>
    <cfRule type="expression" dxfId="16" priority="16">
      <formula>OR(B18&lt;&gt;"High Deductible",B7="Service Contract Employee")</formula>
    </cfRule>
    <cfRule type="expression" dxfId="15" priority="17">
      <formula>AND(B18="High Deductible",B7&lt;&gt;"Service Contract Employee")</formula>
    </cfRule>
  </conditionalFormatting>
  <conditionalFormatting sqref="C28">
    <cfRule type="expression" dxfId="14" priority="2">
      <formula>AND(ISBLANK(C28),B29=TRUE)</formula>
    </cfRule>
  </conditionalFormatting>
  <conditionalFormatting sqref="D51">
    <cfRule type="expression" dxfId="13" priority="1">
      <formula>D51="Enter Age"</formula>
    </cfRule>
  </conditionalFormatting>
  <dataValidations count="16">
    <dataValidation type="list" allowBlank="1" showErrorMessage="1" errorTitle="Warning" error="Please enter a valid item from the dropdown list." sqref="B7" xr:uid="{31EAA249-1C74-481A-98CA-CC80D1EFB095}">
      <formula1>"Standard, Good Life, Service Contract Employee"</formula1>
    </dataValidation>
    <dataValidation type="list" allowBlank="1" showInputMessage="1" showErrorMessage="1" errorTitle="Warning" error="Please enter a valid item from the dropdown list." sqref="B18" xr:uid="{40ACD5CB-AE98-4F71-8CFC-1EC9151E1DFE}">
      <formula1>"High Deductible, Major Medical Copay, Major Medical Premium,Opt Out"</formula1>
    </dataValidation>
    <dataValidation type="list" allowBlank="1" showInputMessage="1" showErrorMessage="1" errorTitle="Warning" error="Please select a valid item from the dropdown list." sqref="B19" xr:uid="{51BEBCA7-D742-4A6C-A27E-E531E1936FEC}">
      <formula1>"Employee, Employee + 1, Family"</formula1>
    </dataValidation>
    <dataValidation type="list" showInputMessage="1" showErrorMessage="1" errorTitle="Warning" error="Please select a valid item from the dropdown list." sqref="B40" xr:uid="{A5912337-3A33-4AB5-8744-515A5066C509}">
      <formula1>"Employee, Employee + 1, Employee + Children,Family,Opt Out"</formula1>
    </dataValidation>
    <dataValidation type="list" allowBlank="1" showInputMessage="1" showErrorMessage="1" errorTitle="Warning" error="Please select a valid item from the dropdown list." sqref="B35" xr:uid="{64C0D573-4D34-4F41-B169-1EC8E19D8D7D}">
      <formula1>"Employee, Family,Opt Out"</formula1>
    </dataValidation>
    <dataValidation showInputMessage="1" showErrorMessage="1" errorTitle="Warning" error="Please select a valid item from the dropdown list." sqref="B20:B22" xr:uid="{453F0316-9C38-48E1-9160-D4EA936B47E9}"/>
    <dataValidation type="whole" operator="greaterThan" allowBlank="1" showInputMessage="1" showErrorMessage="1" errorTitle="Enter a Possitive Whole Number" error="The value you entered was not a possitive whole number." sqref="B16" xr:uid="{415FF890-DDDD-44EB-BB81-5703B5021BDA}">
      <formula1>0</formula1>
    </dataValidation>
    <dataValidation type="decimal" operator="greaterThanOrEqual" allowBlank="1" showInputMessage="1" showErrorMessage="1" errorTitle="Enter a Positive Number" error="The value you entered was not a positive number." sqref="B9" xr:uid="{EF029B73-30E8-4568-B81A-5DEA36B37939}">
      <formula1>0</formula1>
    </dataValidation>
    <dataValidation type="decimal" allowBlank="1" showInputMessage="1" showErrorMessage="1" errorTitle="Enter a Percentage" error="Try typing in the percentage symbol (%) after your number (0-100) or enter a number between (0.00-1.00)." sqref="B44" xr:uid="{FDF3F670-3F29-4FA8-A31A-B77D016550B9}">
      <formula1>0</formula1>
      <formula2>1</formula2>
    </dataValidation>
    <dataValidation type="whole" operator="greaterThanOrEqual" showInputMessage="1" showErrorMessage="1" errorTitle="Please enter a Possitive Number" error="The value you entered was not a possitive whole number." sqref="B31:B32" xr:uid="{4D4F74F4-6303-4025-A607-F48081A8A77C}">
      <formula1>0</formula1>
    </dataValidation>
    <dataValidation type="decimal" operator="greaterThanOrEqual" allowBlank="1" showInputMessage="1" showErrorMessage="1" errorTitle="Please enter a Positive Number" error="The value you entered was not a positive number." sqref="B24" xr:uid="{905BE61B-39A1-4621-B645-E6C1F75D9B67}">
      <formula1>0</formula1>
    </dataValidation>
    <dataValidation operator="greaterThan" allowBlank="1" showInputMessage="1" showErrorMessage="1" errorTitle="Enter a Possitive Whole Number" error="The value you entered was not a possitive whole number." sqref="B11:B12 B14" xr:uid="{677823C6-3F82-4D08-BDA6-952BF8A87B70}"/>
    <dataValidation type="whole" operator="greaterThanOrEqual" allowBlank="1" showInputMessage="1" showErrorMessage="1" errorTitle="Enter a Positive Whole Number" error="The value you entered was not a positive whole number or 0(Zero)." sqref="B8" xr:uid="{D0AE85A5-C1B2-4810-B462-63C8AAB3ED1B}">
      <formula1>0</formula1>
    </dataValidation>
    <dataValidation type="whole" operator="greaterThanOrEqual" allowBlank="1" showInputMessage="1" showErrorMessage="1" errorTitle="Enter a Positive Whole Number" error="The value you entered was not a positive whole number." sqref="B10" xr:uid="{ADF45EA6-E384-40DF-889C-A22A41A865F9}">
      <formula1>0</formula1>
    </dataValidation>
    <dataValidation type="list" allowBlank="1" showDropDown="1" showInputMessage="1" showErrorMessage="1" sqref="B29:B30" xr:uid="{DA021898-4AD5-4341-A924-4251E1D7BA7B}">
      <formula1>"TRUE,FALSE"</formula1>
    </dataValidation>
    <dataValidation type="whole" operator="greaterThan" allowBlank="1" showInputMessage="1" showErrorMessage="1" errorTitle="Please Enter a Possitive Number" error="THe value entered was not a whole posistive number." sqref="C28" xr:uid="{5F16ABA3-6EDD-4FC1-9B13-A88068397DF3}">
      <formula1>0</formula1>
    </dataValidation>
  </dataValidation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0181C-5BB0-480E-BD46-5D9E10910669}">
  <dimension ref="A1:E9"/>
  <sheetViews>
    <sheetView zoomScaleNormal="100" workbookViewId="0">
      <selection activeCell="E1" sqref="E1"/>
    </sheetView>
  </sheetViews>
  <sheetFormatPr defaultRowHeight="14.45"/>
  <cols>
    <col min="1" max="1" width="22.5703125" bestFit="1" customWidth="1"/>
    <col min="2" max="2" width="10.85546875" style="1" bestFit="1" customWidth="1"/>
  </cols>
  <sheetData>
    <row r="1" spans="1:5">
      <c r="A1" s="6" t="s">
        <v>45</v>
      </c>
      <c r="B1" s="6" t="s">
        <v>46</v>
      </c>
      <c r="E1" s="5" t="str">
        <f>"Total: "&amp;DOLLAR(Table2[[#Totals],[Amount]])</f>
        <v>Total: $0.00</v>
      </c>
    </row>
    <row r="2" spans="1:5">
      <c r="A2" s="6" t="s">
        <v>47</v>
      </c>
      <c r="B2" s="5" t="e">
        <f>IF(Calculator!B14="N/A",NA(),IF(Calculator!B14=0,NA(),Calculator!B14))</f>
        <v>#N/A</v>
      </c>
    </row>
    <row r="3" spans="1:5">
      <c r="A3" s="6" t="s">
        <v>9</v>
      </c>
      <c r="B3" s="5" t="e">
        <f>IF(SUM(Calculator!B20:B21)=0,NA(),SUM(Calculator!B20:B21))</f>
        <v>#N/A</v>
      </c>
    </row>
    <row r="4" spans="1:5">
      <c r="A4" s="6" t="s">
        <v>48</v>
      </c>
      <c r="B4" s="5" t="e">
        <f>IF(SUM(Calculator!B24:B25)=0,NA(),IF(AND(Calculator!B18="High Deductible",Calculator!B7&lt;&gt;"Service Contract Employee"),SUM(Calculator!B24:B25),0))</f>
        <v>#N/A</v>
      </c>
    </row>
    <row r="5" spans="1:5">
      <c r="A5" s="6" t="s">
        <v>22</v>
      </c>
      <c r="B5" s="5" t="e">
        <f>IF(SUM(Calculator!B36:B37)=0,NA(),SUM(Calculator!B36:B37))</f>
        <v>#N/A</v>
      </c>
    </row>
    <row r="6" spans="1:5">
      <c r="A6" s="6" t="s">
        <v>24</v>
      </c>
      <c r="B6" s="5" t="e">
        <f>IF(Calculator!B41="N/A",NA(),IF(Calculator!B41=0,NA(),Calculator!B41))</f>
        <v>#N/A</v>
      </c>
    </row>
    <row r="7" spans="1:5">
      <c r="A7" s="6" t="s">
        <v>49</v>
      </c>
      <c r="B7" s="5" t="e">
        <f>IF(SUM(Calculator!B45:B46)=0,NA(),SUM(Calculator!B45:B46))</f>
        <v>#N/A</v>
      </c>
    </row>
    <row r="8" spans="1:5">
      <c r="A8" s="6" t="s">
        <v>50</v>
      </c>
      <c r="B8" s="5" t="e">
        <f>IF(Calculator!B50="N/A",NA(),IF(Calculator!B50=0,NA(),Calculator!B50))</f>
        <v>#N/A</v>
      </c>
    </row>
    <row r="9" spans="1:5">
      <c r="A9" s="6" t="s">
        <v>51</v>
      </c>
      <c r="B9" s="5">
        <f>_xlfn.AGGREGATE(9,6,Table2[Amount])</f>
        <v>0</v>
      </c>
    </row>
  </sheetData>
  <sheetProtection algorithmName="SHA-512" hashValue="ldTC45GWM/TnvC1zNMm86k0GnmCmlLci4GTgVJKbr66xYvSRHC7YepTaeg+4WVZx+11CaXSMzKtPi4qHxHK0dQ==" saltValue="yKlls/ZQK+mxr7qdxZhOhw==" spinCount="100000" sheet="1" objects="1" scenarios="1"/>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5DF7C-4316-4316-BB65-B7A5F9F0D219}">
  <dimension ref="A1:D23"/>
  <sheetViews>
    <sheetView workbookViewId="0">
      <selection activeCell="D23" sqref="A1:D23"/>
    </sheetView>
  </sheetViews>
  <sheetFormatPr defaultRowHeight="14.45"/>
  <cols>
    <col min="1" max="1" width="14.42578125" customWidth="1"/>
    <col min="2" max="2" width="10.42578125" customWidth="1"/>
    <col min="3" max="3" width="10.85546875" customWidth="1"/>
    <col min="4" max="4" width="14.140625" customWidth="1"/>
  </cols>
  <sheetData>
    <row r="1" spans="1:4">
      <c r="A1" s="53" t="s">
        <v>52</v>
      </c>
      <c r="B1" s="53"/>
      <c r="C1" s="53"/>
      <c r="D1" s="53"/>
    </row>
    <row r="2" spans="1:4">
      <c r="A2" s="6" t="s">
        <v>53</v>
      </c>
      <c r="B2" s="6" t="s">
        <v>54</v>
      </c>
      <c r="C2" s="6" t="s">
        <v>55</v>
      </c>
      <c r="D2" s="6" t="s">
        <v>56</v>
      </c>
    </row>
    <row r="3" spans="1:4">
      <c r="A3" s="6">
        <v>0</v>
      </c>
      <c r="B3" s="6">
        <v>184</v>
      </c>
      <c r="C3" s="6">
        <v>48</v>
      </c>
      <c r="D3" s="6">
        <v>40</v>
      </c>
    </row>
    <row r="4" spans="1:4">
      <c r="A4" s="6">
        <v>1</v>
      </c>
      <c r="B4" s="6">
        <v>232</v>
      </c>
      <c r="C4" s="6">
        <v>48</v>
      </c>
      <c r="D4" s="6">
        <v>80</v>
      </c>
    </row>
    <row r="5" spans="1:4">
      <c r="A5" s="6">
        <v>2</v>
      </c>
      <c r="B5" s="6">
        <v>232</v>
      </c>
      <c r="C5" s="6">
        <v>60</v>
      </c>
      <c r="D5" s="6">
        <v>80</v>
      </c>
    </row>
    <row r="6" spans="1:4">
      <c r="A6" s="6">
        <v>3</v>
      </c>
      <c r="B6" s="6">
        <v>256</v>
      </c>
      <c r="C6" s="6">
        <v>72</v>
      </c>
      <c r="D6" s="6">
        <v>80</v>
      </c>
    </row>
    <row r="7" spans="1:4">
      <c r="A7" s="6">
        <v>4</v>
      </c>
      <c r="B7" s="6">
        <v>256</v>
      </c>
      <c r="C7" s="6">
        <v>84</v>
      </c>
      <c r="D7" s="6">
        <v>120</v>
      </c>
    </row>
    <row r="8" spans="1:4">
      <c r="A8" s="6">
        <v>5</v>
      </c>
      <c r="B8" s="6">
        <v>256</v>
      </c>
      <c r="C8" s="6">
        <v>84</v>
      </c>
      <c r="D8" s="6">
        <v>120</v>
      </c>
    </row>
    <row r="9" spans="1:4">
      <c r="A9" s="6">
        <v>6</v>
      </c>
      <c r="B9" s="6">
        <v>256</v>
      </c>
      <c r="C9" s="6">
        <v>84</v>
      </c>
      <c r="D9" s="6">
        <v>120</v>
      </c>
    </row>
    <row r="10" spans="1:4">
      <c r="A10" s="6">
        <v>7</v>
      </c>
      <c r="B10" s="6">
        <v>256</v>
      </c>
      <c r="C10" s="6">
        <v>84</v>
      </c>
      <c r="D10" s="6">
        <v>120</v>
      </c>
    </row>
    <row r="11" spans="1:4">
      <c r="A11" s="6">
        <v>8</v>
      </c>
      <c r="B11" s="6">
        <v>256</v>
      </c>
      <c r="C11" s="6">
        <v>84</v>
      </c>
      <c r="D11" s="6">
        <v>120</v>
      </c>
    </row>
    <row r="12" spans="1:4">
      <c r="A12" s="6">
        <v>9</v>
      </c>
      <c r="B12" s="6">
        <v>256</v>
      </c>
      <c r="C12" s="6">
        <v>84</v>
      </c>
      <c r="D12" s="6">
        <v>160</v>
      </c>
    </row>
    <row r="13" spans="1:4">
      <c r="A13" s="6">
        <v>10</v>
      </c>
      <c r="B13" s="6">
        <v>296</v>
      </c>
      <c r="C13" s="6">
        <v>84</v>
      </c>
      <c r="D13" s="6">
        <v>160</v>
      </c>
    </row>
    <row r="14" spans="1:4">
      <c r="A14" s="6">
        <v>11</v>
      </c>
      <c r="B14" s="6">
        <v>296</v>
      </c>
      <c r="C14" s="6">
        <v>84</v>
      </c>
      <c r="D14" s="6">
        <v>160</v>
      </c>
    </row>
    <row r="15" spans="1:4">
      <c r="A15" s="6">
        <v>12</v>
      </c>
      <c r="B15" s="6">
        <v>296</v>
      </c>
      <c r="C15" s="6">
        <v>84</v>
      </c>
      <c r="D15" s="6">
        <v>160</v>
      </c>
    </row>
    <row r="16" spans="1:4">
      <c r="A16" s="6">
        <v>13</v>
      </c>
      <c r="B16" s="6">
        <v>296</v>
      </c>
      <c r="C16" s="6">
        <v>84</v>
      </c>
      <c r="D16" s="6">
        <v>160</v>
      </c>
    </row>
    <row r="17" spans="1:4">
      <c r="A17" s="6">
        <v>14</v>
      </c>
      <c r="B17" s="6">
        <v>296</v>
      </c>
      <c r="C17" s="6">
        <v>84</v>
      </c>
      <c r="D17" s="6">
        <v>200</v>
      </c>
    </row>
    <row r="18" spans="1:4">
      <c r="A18" s="6">
        <v>15</v>
      </c>
      <c r="B18" s="6">
        <v>296</v>
      </c>
      <c r="C18" s="6">
        <v>84</v>
      </c>
      <c r="D18" s="6">
        <v>200</v>
      </c>
    </row>
    <row r="19" spans="1:4">
      <c r="A19" s="6">
        <v>16</v>
      </c>
      <c r="B19" s="6">
        <v>296</v>
      </c>
      <c r="C19" s="6">
        <v>84</v>
      </c>
      <c r="D19" s="6">
        <v>200</v>
      </c>
    </row>
    <row r="20" spans="1:4">
      <c r="A20" s="6">
        <v>17</v>
      </c>
      <c r="B20" s="6">
        <v>296</v>
      </c>
      <c r="C20" s="6">
        <v>84</v>
      </c>
      <c r="D20" s="6">
        <v>200</v>
      </c>
    </row>
    <row r="21" spans="1:4">
      <c r="A21" s="6">
        <v>18</v>
      </c>
      <c r="B21" s="6">
        <v>296</v>
      </c>
      <c r="C21" s="6">
        <v>84</v>
      </c>
      <c r="D21" s="6">
        <v>200</v>
      </c>
    </row>
    <row r="22" spans="1:4">
      <c r="A22" s="6">
        <v>19</v>
      </c>
      <c r="B22" s="6">
        <v>296</v>
      </c>
      <c r="C22" s="6">
        <v>84</v>
      </c>
      <c r="D22" s="6">
        <v>200</v>
      </c>
    </row>
    <row r="23" spans="1:4">
      <c r="A23" s="6">
        <v>20</v>
      </c>
      <c r="B23" s="6">
        <v>312</v>
      </c>
      <c r="C23" s="6">
        <v>84</v>
      </c>
      <c r="D23" s="6">
        <v>200</v>
      </c>
    </row>
  </sheetData>
  <sheetProtection algorithmName="SHA-512" hashValue="UgpHotuxiqYyUjxTobEn6ugDVGqzZkfF6u24F96gHfJizWUbLHADEPLPJa07wD+INd/qnpAh4pryLsNScSOX6g==" saltValue="P2PkGhvmaylhzdUXg4u0aQ==" spinCount="100000" sheet="1" objects="1" scenarios="1"/>
  <mergeCells count="1">
    <mergeCell ref="A1:D1"/>
  </mergeCells>
  <phoneticPr fontId="3" type="noConversion"/>
  <pageMargins left="0.7" right="0.7" top="0.75" bottom="0.75" header="0.3" footer="0.3"/>
  <pageSetup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27d7c46-a314-45a2-8bd0-6ef49881f3da">
      <Terms xmlns="http://schemas.microsoft.com/office/infopath/2007/PartnerControls"/>
    </lcf76f155ced4ddcb4097134ff3c332f>
    <TaxCatchAll xmlns="73ad90eb-75b4-43b5-b36c-f011f5d5fc68" xsi:nil="true"/>
    <IconOverlay xmlns="http://schemas.microsoft.com/sharepoint/v4" xsi:nil="true"/>
    <Ranking xmlns="927d7c46-a314-45a2-8bd0-6ef49881f3d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3B684138A9B804A9ED9013DC48B40D2" ma:contentTypeVersion="18" ma:contentTypeDescription="Create a new document." ma:contentTypeScope="" ma:versionID="718765f62380b542f47e7e58ea1ae0b7">
  <xsd:schema xmlns:xsd="http://www.w3.org/2001/XMLSchema" xmlns:xs="http://www.w3.org/2001/XMLSchema" xmlns:p="http://schemas.microsoft.com/office/2006/metadata/properties" xmlns:ns2="927d7c46-a314-45a2-8bd0-6ef49881f3da" xmlns:ns3="73ad90eb-75b4-43b5-b36c-f011f5d5fc68" xmlns:ns4="http://schemas.microsoft.com/sharepoint/v4" targetNamespace="http://schemas.microsoft.com/office/2006/metadata/properties" ma:root="true" ma:fieldsID="42b5d4eb9e7b336dbb604e02e202ecd3" ns2:_="" ns3:_="" ns4:_="">
    <xsd:import namespace="927d7c46-a314-45a2-8bd0-6ef49881f3da"/>
    <xsd:import namespace="73ad90eb-75b4-43b5-b36c-f011f5d5fc68"/>
    <xsd:import namespace="http://schemas.microsoft.com/sharepoint/v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4:IconOverlay" minOccurs="0"/>
                <xsd:element ref="ns2:MediaServiceDateTaken" minOccurs="0"/>
                <xsd:element ref="ns2:MediaServiceObjectDetectorVersions" minOccurs="0"/>
                <xsd:element ref="ns2:MediaLengthInSeconds" minOccurs="0"/>
                <xsd:element ref="ns2:Ranking"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7d7c46-a314-45a2-8bd0-6ef49881f3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5a478c0-9053-4bd7-9156-a1ab9ee6fd4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Ranking" ma:index="22" nillable="true" ma:displayName="Ranking" ma:format="Dropdown" ma:indexed="true" ma:internalName="Ranking" ma:percentage="FALSE">
      <xsd:simpleType>
        <xsd:restriction base="dms:Number"/>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3ad90eb-75b4-43b5-b36c-f011f5d5fc6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98f14d37-c147-454d-ad16-3c7345e1f755}" ma:internalName="TaxCatchAll" ma:showField="CatchAllData" ma:web="73ad90eb-75b4-43b5-b36c-f011f5d5fc6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492EA94-546F-4818-BA0B-85F19F838F71}"/>
</file>

<file path=customXml/itemProps2.xml><?xml version="1.0" encoding="utf-8"?>
<ds:datastoreItem xmlns:ds="http://schemas.openxmlformats.org/officeDocument/2006/customXml" ds:itemID="{1024BB07-CE58-4DAD-A0BC-EA9CCB3BA336}"/>
</file>

<file path=customXml/itemProps3.xml><?xml version="1.0" encoding="utf-8"?>
<ds:datastoreItem xmlns:ds="http://schemas.openxmlformats.org/officeDocument/2006/customXml" ds:itemID="{3C34D4F3-977D-4FC3-BEE3-90867A2EA09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Conner Knepp</dc:creator>
  <cp:keywords/>
  <dc:description/>
  <cp:lastModifiedBy>Conner Knepp</cp:lastModifiedBy>
  <cp:revision/>
  <dcterms:created xsi:type="dcterms:W3CDTF">2015-06-05T18:17:20Z</dcterms:created>
  <dcterms:modified xsi:type="dcterms:W3CDTF">2025-11-10T21:44:14Z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0x010100A3B684138A9B804A9ED9013DC48B40D2</vt:lpwstr>
  </property>
</Properties>
</file>